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9555" activeTab="0"/>
  </bookViews>
  <sheets>
    <sheet name="vastaukset 2 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<sst xmlns="http://schemas.openxmlformats.org/spreadsheetml/2006/main" count="104" uniqueCount="104">
  <si>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lähetetty</t>
  </si>
  <si>
    <t>Ilmoittautujan nimi (Sukunimi, etunimi)</t>
  </si>
  <si>
    <t>Ilmoittautujan taustayhteisö(seura, kunta, virasto jne.)</t>
  </si>
  <si>
    <t>Asema/tehtävä yhteisössä</t>
  </si>
  <si>
    <t>Matkapuhelimen numero</t>
  </si>
  <si>
    <t>Sähköpostiosoite</t>
  </si>
  <si>
    <t>10.2.2011 17:42:29</t>
  </si>
  <si>
    <t>11.2.2011 12:22:23</t>
  </si>
  <si>
    <t>13.2.2011 23:14:23</t>
  </si>
  <si>
    <t>14.2.2011 13:24:57</t>
  </si>
  <si>
    <t>14.2.2011 15:17:22</t>
  </si>
  <si>
    <t>14.2.2011 22:44:19</t>
  </si>
  <si>
    <t>15.2.2011 11:26:11</t>
  </si>
  <si>
    <t>15.2.2011 11:35:35</t>
  </si>
  <si>
    <t>15.2.2011 11:57:36</t>
  </si>
  <si>
    <t>15.2.2011 13:24:33</t>
  </si>
  <si>
    <t>16.2.2011 11:22:35</t>
  </si>
  <si>
    <t>16.2.2011 12:54:58</t>
  </si>
  <si>
    <t>16.2.2011 14:30:30</t>
  </si>
  <si>
    <t>16.2.2011 18:22:13</t>
  </si>
  <si>
    <t>17.2.2011 08:31:03</t>
  </si>
  <si>
    <t>17.2.2011 09:28:03</t>
  </si>
  <si>
    <t>18.2.2011 10:34:49</t>
  </si>
  <si>
    <t>18.2.2011 14:12:42</t>
  </si>
  <si>
    <t>19.2.2011 13:32:47</t>
  </si>
  <si>
    <t>19.2.2011 13:46:29</t>
  </si>
  <si>
    <t>19.2.2011 19:57:12</t>
  </si>
  <si>
    <t>20.2.2011 19:55:09</t>
  </si>
  <si>
    <t>20.2.2011 23:16:01</t>
  </si>
  <si>
    <t>21.2.2011 11:22:54</t>
  </si>
  <si>
    <t>21.2.2011 13:02:32</t>
  </si>
  <si>
    <t>21.2.2011 15:14:48</t>
  </si>
  <si>
    <t>22.2.2011 09:28:57</t>
  </si>
  <si>
    <t>22.2.2011 11:21:27</t>
  </si>
  <si>
    <t>22.2.2011 12:27:10</t>
  </si>
  <si>
    <t>22.2.2011 12:29:29</t>
  </si>
  <si>
    <t>22.2.2011 18:44:07</t>
  </si>
  <si>
    <t>23.2.2011 17:57:50</t>
  </si>
  <si>
    <t>24.2.2011 08:46:11</t>
  </si>
  <si>
    <t>25.2.2011 11:53:09</t>
  </si>
  <si>
    <t>25.2.2011 12:05:50</t>
  </si>
  <si>
    <t>25.2.2011 13:55:35</t>
  </si>
  <si>
    <t>25.2.2011 15:00:01</t>
  </si>
  <si>
    <t>26.2.2011 16:37:51</t>
  </si>
  <si>
    <t>27.2.2011 18:35:44</t>
  </si>
  <si>
    <t>28.2.2011 06:45:22</t>
  </si>
  <si>
    <t>28.2.2011 10:06:13</t>
  </si>
  <si>
    <t>28.2.2011 10:26:26</t>
  </si>
  <si>
    <t>2.3.2011 09:43:59</t>
  </si>
  <si>
    <t>2.3.2011 10:24:24</t>
  </si>
  <si>
    <t>2.3.2011 11:01:59</t>
  </si>
  <si>
    <t>2.3.2011 14:53:58</t>
  </si>
  <si>
    <t>2.3.2011 14:57:59</t>
  </si>
  <si>
    <t>2.3.2011 15:38:17</t>
  </si>
  <si>
    <t>2.3.2011 15:48:43</t>
  </si>
  <si>
    <t>2.3.2011 15:50:28</t>
  </si>
  <si>
    <t>3.3.2011 06:33:39</t>
  </si>
  <si>
    <t>3.3.2011 07:24:49</t>
  </si>
  <si>
    <t>3.3.2011 08:00:33</t>
  </si>
  <si>
    <t>3.3.2011 08:09:44</t>
  </si>
  <si>
    <t>3.3.2011 08:34:56</t>
  </si>
  <si>
    <t>3.3.2011 08:44:14</t>
  </si>
  <si>
    <t>3.3.2011 08:47:15</t>
  </si>
  <si>
    <t>3.3.2011 08:49:15</t>
  </si>
  <si>
    <t>3.3.2011 09:25:15</t>
  </si>
  <si>
    <t>3.3.2011 09:36:06</t>
  </si>
  <si>
    <t>3.3.2011 09:43:29</t>
  </si>
  <si>
    <t>3.3.2011 09:46:07</t>
  </si>
  <si>
    <t>3.3.2011 10:06:58</t>
  </si>
  <si>
    <t>3.3.2011 10:25:01</t>
  </si>
  <si>
    <t>3.3.2011 10:27:05</t>
  </si>
  <si>
    <t>3.3.2011 11:40:19</t>
  </si>
  <si>
    <t>3.3.2011 13:41:02</t>
  </si>
  <si>
    <t>3.3.2011 15:17:45</t>
  </si>
  <si>
    <t>3.3.2011 15:23:30</t>
  </si>
  <si>
    <t>3.3.2011 17:22:57</t>
  </si>
  <si>
    <t>3.3.2011 17:27:26</t>
  </si>
  <si>
    <t>3.3.2011 17:47:24</t>
  </si>
  <si>
    <t>3.3.2011 18:46:10</t>
  </si>
  <si>
    <t>4.3.2011 10:08:28</t>
  </si>
  <si>
    <t>4.3.2011 12:46:40</t>
  </si>
  <si>
    <t>4.3.2011 14:03:29</t>
  </si>
  <si>
    <t>4.3.2011 14:41:48</t>
  </si>
  <si>
    <t>7.3.2011 09:03:29</t>
  </si>
  <si>
    <t>7.3.2011 09:38:11</t>
  </si>
  <si>
    <t>7.3.2011 09:57:14</t>
  </si>
  <si>
    <t>7.3.2011 10:02:42</t>
  </si>
  <si>
    <t>7.3.2011 11:16:03</t>
  </si>
  <si>
    <t>7.3.2011 11:46:04</t>
  </si>
  <si>
    <t>7.3.2011 12:26:17</t>
  </si>
  <si>
    <t>7.3.2011 12:37:02</t>
  </si>
  <si>
    <t>7.3.2011 12:51:51</t>
  </si>
  <si>
    <t>7.3.2011 12:58:55</t>
  </si>
  <si>
    <t>7.3.2011 13:50:21</t>
  </si>
  <si>
    <t>7.3.2011 14:51:16</t>
  </si>
  <si>
    <t>7.3.2011 15:09:19</t>
  </si>
  <si>
    <t>8.3.2011 08:28:17</t>
  </si>
  <si>
    <t>8.3.2011 08:48:27</t>
  </si>
  <si>
    <t>8.3.2011 09:07:35</t>
  </si>
  <si>
    <t>8.3.2011 10:16:43</t>
  </si>
  <si>
    <t>8.3.2011 10:21:14</t>
  </si>
  <si>
    <t>8.3.2011 10:33:33</t>
  </si>
  <si>
    <t>8.3.2011 10:35:23</t>
  </si>
  <si>
    <t>8.3.2011 10:38:58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</si>
</sst>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zoomScalePageLayoutView="0" workbookViewId="0" topLeftCell="A90">
      <selection activeCell="A1" sqref="A1"/>
    </sheetView>
  </sheetViews>
  <sheetFormatPr defaultColWidth="9.140625" defaultRowHeight="15"/>
  <cols>
    <col min="1" max="1" width="16.28125" style="0" bestFit="1" customWidth="1"/>
    <col min="2" max="6" width="22.8515625" style="0" customWidth="1"/>
  </cols>
  <sheetData>
    <row r="1" spans="1:6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3" t="s">
        <v>6</v>
      </c>
      <c r="B2" s="3" t="str">
        <f>"Aarrekivi Risto "</f>
        <v>Aarrekivi Risto </v>
      </c>
      <c r="C2" s="3" t="str">
        <f>"SAL"</f>
        <v>SAL</v>
      </c>
      <c r="D2" s="3" t="str">
        <f>"Tj"</f>
        <v>Tj</v>
      </c>
      <c r="E2" s="2"/>
      <c r="F2" s="3" t="str">
        <f>"risto.aarrekivi@ampumaurheiluliitto.fi"</f>
        <v>risto.aarrekivi@ampumaurheiluliitto.fi</v>
      </c>
    </row>
    <row r="3" spans="1:6" ht="15">
      <c r="A3" s="3" t="s">
        <v>7</v>
      </c>
      <c r="B3" s="3" t="str">
        <f>"Viitasaari, Paula"</f>
        <v>Viitasaari, Paula</v>
      </c>
      <c r="C3" s="3" t="str">
        <f>"Suomen Ampumaurheiluliitto, Poliisien Ampumaseura"</f>
        <v>Suomen Ampumaurheiluliitto, Poliisien Ampumaseura</v>
      </c>
      <c r="D3" s="3" t="str">
        <f>"SAL hallituksen jäsen ja PAS pj."</f>
        <v>SAL hallituksen jäsen ja PAS pj.</v>
      </c>
      <c r="E3" s="3" t="str">
        <f>"0405890240"</f>
        <v>0405890240</v>
      </c>
      <c r="F3" s="3" t="str">
        <f>"paula.viitasaari@pp.inet.fi"</f>
        <v>paula.viitasaari@pp.inet.fi</v>
      </c>
    </row>
    <row r="4" spans="1:6" ht="15">
      <c r="A4" s="3" t="s">
        <v>8</v>
      </c>
      <c r="B4" s="3" t="str">
        <f>"Nieminen, Jarmo"</f>
        <v>Nieminen, Jarmo</v>
      </c>
      <c r="C4" s="3" t="str">
        <f>"Kaupungin valtuusto"</f>
        <v>Kaupungin valtuusto</v>
      </c>
      <c r="D4" s="3" t="str">
        <f>"Valtuutettu"</f>
        <v>Valtuutettu</v>
      </c>
      <c r="E4" s="3" t="str">
        <f>"045 656 75 42"</f>
        <v>045 656 75 42</v>
      </c>
      <c r="F4" s="3" t="str">
        <f>"nieminen.jarmo@gmail.com"</f>
        <v>nieminen.jarmo@gmail.com</v>
      </c>
    </row>
    <row r="5" spans="1:6" ht="15">
      <c r="A5" s="3" t="s">
        <v>9</v>
      </c>
      <c r="B5" s="3" t="str">
        <f>"Haapaniemi Hannu"</f>
        <v>Haapaniemi Hannu</v>
      </c>
      <c r="C5" s="3" t="str">
        <f>"SAL"</f>
        <v>SAL</v>
      </c>
      <c r="D5" s="3" t="str">
        <f>"Liittovaltooston pj."</f>
        <v>Liittovaltooston pj.</v>
      </c>
      <c r="E5" s="3" t="str">
        <f>"0400-627705"</f>
        <v>0400-627705</v>
      </c>
      <c r="F5" s="3" t="str">
        <f>"hannu.haapaniemi@amurinsahkopaja.fi"</f>
        <v>hannu.haapaniemi@amurinsahkopaja.fi</v>
      </c>
    </row>
    <row r="6" spans="1:6" ht="15">
      <c r="A6" s="3" t="s">
        <v>10</v>
      </c>
      <c r="B6" s="3" t="str">
        <f>"Luoto Karoliina"</f>
        <v>Luoto Karoliina</v>
      </c>
      <c r="C6" s="3" t="str">
        <f>"Suomen Liikunta ja Urheilu SLU ry"</f>
        <v>Suomen Liikunta ja Urheilu SLU ry</v>
      </c>
      <c r="D6" s="3" t="str">
        <f>"Asiantuntija"</f>
        <v>Asiantuntija</v>
      </c>
      <c r="E6" s="3" t="str">
        <f>"0405876650"</f>
        <v>0405876650</v>
      </c>
      <c r="F6" s="3" t="str">
        <f>"karoliina.luoto@slu.fi"</f>
        <v>karoliina.luoto@slu.fi</v>
      </c>
    </row>
    <row r="7" spans="1:6" ht="15">
      <c r="A7" s="3" t="s">
        <v>11</v>
      </c>
      <c r="B7" s="3" t="str">
        <f>"Patrakka Marko"</f>
        <v>Patrakka Marko</v>
      </c>
      <c r="C7" s="3" t="str">
        <f>"Reserviläisurheiluliitto ry"</f>
        <v>Reserviläisurheiluliitto ry</v>
      </c>
      <c r="D7" s="3" t="str">
        <f>"Hallituksen jäsen"</f>
        <v>Hallituksen jäsen</v>
      </c>
      <c r="E7" s="3" t="str">
        <f>"0505570761"</f>
        <v>0505570761</v>
      </c>
      <c r="F7" s="3" t="str">
        <f>"markopatrakka@phnet.fi"</f>
        <v>markopatrakka@phnet.fi</v>
      </c>
    </row>
    <row r="8" spans="1:6" ht="15">
      <c r="A8" s="3" t="s">
        <v>12</v>
      </c>
      <c r="B8" s="3" t="str">
        <f>"Keskitalo Heikki"</f>
        <v>Keskitalo Heikki</v>
      </c>
      <c r="C8" s="3" t="str">
        <f>"SAL hallitus, Lahden Ampumaseura"</f>
        <v>SAL hallitus, Lahden Ampumaseura</v>
      </c>
      <c r="D8" s="3" t="str">
        <f>"SAL hallituksen jäsen, seuran jäsen"</f>
        <v>SAL hallituksen jäsen, seuran jäsen</v>
      </c>
      <c r="E8" s="2"/>
      <c r="F8" s="3" t="str">
        <f>"heikki.keskitalo@phnet.fi"</f>
        <v>heikki.keskitalo@phnet.fi</v>
      </c>
    </row>
    <row r="9" spans="1:6" ht="15">
      <c r="A9" s="3" t="s">
        <v>13</v>
      </c>
      <c r="B9" s="3" t="str">
        <f>"Maijanen, Ville"</f>
        <v>Maijanen, Ville</v>
      </c>
      <c r="C9" s="3" t="str">
        <f>"Suomen Reserviupseeriliitto"</f>
        <v>Suomen Reserviupseeriliitto</v>
      </c>
      <c r="D9" s="3" t="str">
        <f>"Pääkaupunkiseudun ampumaharrastuksen alueneuvottelukunta"</f>
        <v>Pääkaupunkiseudun ampumaharrastuksen alueneuvottelukunta</v>
      </c>
      <c r="E9" s="3" t="str">
        <f>"0405111681"</f>
        <v>0405111681</v>
      </c>
      <c r="F9" s="3" t="str">
        <f>"ville.maijanen@kolumbus.fi"</f>
        <v>ville.maijanen@kolumbus.fi</v>
      </c>
    </row>
    <row r="10" spans="1:6" ht="15">
      <c r="A10" s="3" t="s">
        <v>14</v>
      </c>
      <c r="B10" s="3" t="str">
        <f>"Antti Kokkola"</f>
        <v>Antti Kokkola</v>
      </c>
      <c r="C10" s="3" t="str">
        <f>"RESUL"</f>
        <v>RESUL</v>
      </c>
      <c r="D10" s="3" t="str">
        <f>"SRA-toimikunta pj"</f>
        <v>SRA-toimikunta pj</v>
      </c>
      <c r="E10" s="3" t="str">
        <f>"0405483393"</f>
        <v>0405483393</v>
      </c>
      <c r="F10" s="3" t="str">
        <f>"antti.kokkola@fi.fujitsu.com"</f>
        <v>antti.kokkola@fi.fujitsu.com</v>
      </c>
    </row>
    <row r="11" spans="1:6" ht="15">
      <c r="A11" s="3" t="s">
        <v>15</v>
      </c>
      <c r="B11" s="3" t="str">
        <f>"Hosiokangas, Jari"</f>
        <v>Hosiokangas, Jari</v>
      </c>
      <c r="C11" s="3" t="str">
        <f>"Ramboll Finland Oy, ympäristökonsultointi"</f>
        <v>Ramboll Finland Oy, ympäristökonsultointi</v>
      </c>
      <c r="D11" s="3" t="str">
        <f>"Ryhmäpäällikkö"</f>
        <v>Ryhmäpäällikkö</v>
      </c>
      <c r="E11" s="3" t="str">
        <f>"040 5844284"</f>
        <v>040 5844284</v>
      </c>
      <c r="F11" s="3" t="str">
        <f>"jari.hosiokangas@ramboll.fi"</f>
        <v>jari.hosiokangas@ramboll.fi</v>
      </c>
    </row>
    <row r="12" spans="1:6" ht="15">
      <c r="A12" s="3" t="s">
        <v>16</v>
      </c>
      <c r="B12" s="3" t="str">
        <f>"Alajoki Tomi"</f>
        <v>Alajoki Tomi</v>
      </c>
      <c r="C12" s="3" t="str">
        <f>"Helsingin Reserviupseeripiiri ry"</f>
        <v>Helsingin Reserviupseeripiiri ry</v>
      </c>
      <c r="D12" s="3" t="str">
        <f>"toiminnanjohtaja"</f>
        <v>toiminnanjohtaja</v>
      </c>
      <c r="E12" s="3" t="str">
        <f>"045-1283636"</f>
        <v>045-1283636</v>
      </c>
      <c r="F12" s="3" t="str">
        <f>"tomi.alajoki@hrup.fi"</f>
        <v>tomi.alajoki@hrup.fi</v>
      </c>
    </row>
    <row r="13" spans="1:6" ht="15">
      <c r="A13" s="3" t="s">
        <v>17</v>
      </c>
      <c r="B13" s="3" t="str">
        <f>"Ukkola Esa"</f>
        <v>Ukkola Esa</v>
      </c>
      <c r="C13" s="3" t="str">
        <f>"Tuusulan kunta"</f>
        <v>Tuusulan kunta</v>
      </c>
      <c r="D13" s="3" t="str">
        <f>"kasvatus- ja sivistystoimenjohtaja"</f>
        <v>kasvatus- ja sivistystoimenjohtaja</v>
      </c>
      <c r="E13" s="3" t="str">
        <f>"0403143401"</f>
        <v>0403143401</v>
      </c>
      <c r="F13" s="3" t="str">
        <f>"sunna.naumi@tuusula.fi"</f>
        <v>sunna.naumi@tuusula.fi</v>
      </c>
    </row>
    <row r="14" spans="1:6" ht="15">
      <c r="A14" s="3" t="s">
        <v>18</v>
      </c>
      <c r="B14" s="3" t="str">
        <f>"Seuna Veikko"</f>
        <v>Seuna Veikko</v>
      </c>
      <c r="C14" s="3" t="str">
        <f>"Helsingin riistanhoitoyhdistys, a-ratavaltuuskunta"</f>
        <v>Helsingin riistanhoitoyhdistys, a-ratavaltuuskunta</v>
      </c>
      <c r="D14" s="3" t="str">
        <f>"toiminnanohjaaja, vpj"</f>
        <v>toiminnanohjaaja, vpj</v>
      </c>
      <c r="E14" s="3" t="str">
        <f>"0500-458357"</f>
        <v>0500-458357</v>
      </c>
      <c r="F14" s="3" t="str">
        <f>"veikko.seuna@riista.fi"</f>
        <v>veikko.seuna@riista.fi</v>
      </c>
    </row>
    <row r="15" spans="1:6" ht="15">
      <c r="A15" s="3" t="s">
        <v>19</v>
      </c>
      <c r="B15" s="3" t="str">
        <f>"Tuominen Lassi"</f>
        <v>Tuominen Lassi</v>
      </c>
      <c r="C15" s="3" t="str">
        <f>"Marttilan seudun riistanhoitoyhdistys"</f>
        <v>Marttilan seudun riistanhoitoyhdistys</v>
      </c>
      <c r="D15" s="3" t="str">
        <f>"Toiminnanohjaaja"</f>
        <v>Toiminnanohjaaja</v>
      </c>
      <c r="E15" s="3" t="str">
        <f>"0400-223548"</f>
        <v>0400-223548</v>
      </c>
      <c r="F15" s="3" t="str">
        <f>"marttila@riista.fi"</f>
        <v>marttila@riista.fi</v>
      </c>
    </row>
    <row r="16" spans="1:6" ht="15">
      <c r="A16" s="3" t="s">
        <v>20</v>
      </c>
      <c r="B16" s="3" t="str">
        <f>"Ruponen Saija"</f>
        <v>Ruponen Saija</v>
      </c>
      <c r="C16" s="3" t="str">
        <f>"Sipoon kunta"</f>
        <v>Sipoon kunta</v>
      </c>
      <c r="D16" s="3" t="str">
        <f>"ympäristönsuojelutarkastaja"</f>
        <v>ympäristönsuojelutarkastaja</v>
      </c>
      <c r="E16" s="2"/>
      <c r="F16" s="3" t="str">
        <f>"saija.ruponen@sipoo.fi"</f>
        <v>saija.ruponen@sipoo.fi</v>
      </c>
    </row>
    <row r="17" spans="1:6" ht="15">
      <c r="A17" s="3" t="s">
        <v>21</v>
      </c>
      <c r="B17" s="3" t="str">
        <f>"Väänänen Mauri"</f>
        <v>Väänänen Mauri</v>
      </c>
      <c r="C17" s="3" t="str">
        <f>"Etelä-Suomen maanpuolustuspiiri"</f>
        <v>Etelä-Suomen maanpuolustuspiiri</v>
      </c>
      <c r="D17" s="3" t="str">
        <f>"Piiripäällikkö"</f>
        <v>Piiripäällikkö</v>
      </c>
      <c r="E17" s="3" t="str">
        <f>"0407070432"</f>
        <v>0407070432</v>
      </c>
      <c r="F17" s="3" t="str">
        <f>"mauri.vaananen@mpky.fi"</f>
        <v>mauri.vaananen@mpky.fi</v>
      </c>
    </row>
    <row r="18" spans="1:6" ht="15">
      <c r="A18" s="3" t="s">
        <v>22</v>
      </c>
      <c r="B18" s="3" t="str">
        <f>"Anu Juvonen"</f>
        <v>Anu Juvonen</v>
      </c>
      <c r="C18" s="3" t="str">
        <f>"Sipoon kunta"</f>
        <v>Sipoon kunta</v>
      </c>
      <c r="D18" s="3" t="str">
        <f>"ympäristönsuojelutarkastaja"</f>
        <v>ympäristönsuojelutarkastaja</v>
      </c>
      <c r="E18" s="2"/>
      <c r="F18" s="3" t="str">
        <f>"anu.juvonen@sipoo.fi"</f>
        <v>anu.juvonen@sipoo.fi</v>
      </c>
    </row>
    <row r="19" spans="1:6" ht="15">
      <c r="A19" s="3" t="s">
        <v>23</v>
      </c>
      <c r="B19" s="3" t="str">
        <f>"PENTINNIEMI ERKKI"</f>
        <v>PENTINNIEMI ERKKI</v>
      </c>
      <c r="C19" s="3" t="str">
        <f>"SML KYMEN PIIRI RY"</f>
        <v>SML KYMEN PIIRI RY</v>
      </c>
      <c r="D19" s="3" t="str">
        <f>"TOIMINNANJOHTAJA"</f>
        <v>TOIMINNANJOHTAJA</v>
      </c>
      <c r="E19" s="3" t="str">
        <f>"0400 636611"</f>
        <v>0400 636611</v>
      </c>
      <c r="F19" s="3" t="str">
        <f>"sml.kymenpiiri@co.inet.fi"</f>
        <v>sml.kymenpiiri@co.inet.fi</v>
      </c>
    </row>
    <row r="20" spans="1:6" ht="15">
      <c r="A20" s="3" t="s">
        <v>24</v>
      </c>
      <c r="B20" s="3" t="str">
        <f>"Hintikka Väinö Viljo Heikki"</f>
        <v>Hintikka Väinö Viljo Heikki</v>
      </c>
      <c r="C20" s="3" t="str">
        <f>"Geologian Tutkimuskeskus, Mineraalitekniikan laboratorio "</f>
        <v>Geologian Tutkimuskeskus, Mineraalitekniikan laboratorio </v>
      </c>
      <c r="D20" s="3" t="str">
        <f>"Erikostutkija "</f>
        <v>Erikostutkija </v>
      </c>
      <c r="E20" s="3" t="str">
        <f>"050 321 4982"</f>
        <v>050 321 4982</v>
      </c>
      <c r="F20" s="3" t="str">
        <f>"vaino.hintikka@gtk.fi"</f>
        <v>vaino.hintikka@gtk.fi</v>
      </c>
    </row>
    <row r="21" spans="1:6" ht="15">
      <c r="A21" s="3" t="s">
        <v>25</v>
      </c>
      <c r="B21" s="3" t="str">
        <f>" Hintikka Väinö Viljo Heikki"</f>
        <v> Hintikka Väinö Viljo Heikki</v>
      </c>
      <c r="C21" s="3" t="str">
        <f>"GTK, Mineraalitekniikan laboratorio"</f>
        <v>GTK, Mineraalitekniikan laboratorio</v>
      </c>
      <c r="D21" s="3" t="str">
        <f>"Erikoistutkija"</f>
        <v>Erikoistutkija</v>
      </c>
      <c r="E21" s="3" t="str">
        <f>"050 321 4982"</f>
        <v>050 321 4982</v>
      </c>
      <c r="F21" s="3" t="str">
        <f>" vaino.hintikka@gtk.fi"</f>
        <v> vaino.hintikka@gtk.fi</v>
      </c>
    </row>
    <row r="22" spans="1:6" ht="15">
      <c r="A22" s="3" t="s">
        <v>26</v>
      </c>
      <c r="B22" s="3" t="str">
        <f>"Viljanen Eerikki"</f>
        <v>Viljanen Eerikki</v>
      </c>
      <c r="C22" s="3" t="str">
        <f>"Vihdin kunta"</f>
        <v>Vihdin kunta</v>
      </c>
      <c r="D22" s="3" t="str">
        <f>"Valtuutettu"</f>
        <v>Valtuutettu</v>
      </c>
      <c r="E22" s="3" t="str">
        <f>"050 5252727"</f>
        <v>050 5252727</v>
      </c>
      <c r="F22" s="3" t="str">
        <f>"eerikki.viljanen@eduskunta.fi"</f>
        <v>eerikki.viljanen@eduskunta.fi</v>
      </c>
    </row>
    <row r="23" spans="1:6" ht="15">
      <c r="A23" s="3" t="s">
        <v>27</v>
      </c>
      <c r="B23" s="3" t="str">
        <f>"Sipilä Petri"</f>
        <v>Sipilä Petri</v>
      </c>
      <c r="C23" s="3" t="str">
        <f>"Vammalan seudun ampujat"</f>
        <v>Vammalan seudun ampujat</v>
      </c>
      <c r="D23" s="3" t="str">
        <f>"pj."</f>
        <v>pj.</v>
      </c>
      <c r="E23" s="3" t="str">
        <f>"045-2319704"</f>
        <v>045-2319704</v>
      </c>
      <c r="F23" s="3" t="str">
        <f>"petri.sipila@kopteri.net"</f>
        <v>petri.sipila@kopteri.net</v>
      </c>
    </row>
    <row r="24" spans="1:6" ht="15">
      <c r="A24" s="3" t="s">
        <v>28</v>
      </c>
      <c r="B24" s="3" t="str">
        <f>"Hänninen, Tapio"</f>
        <v>Hänninen, Tapio</v>
      </c>
      <c r="C24" s="3" t="str">
        <f>"ampumaharrastusfoorumin ympäristötyöryhmä"</f>
        <v>ampumaharrastusfoorumin ympäristötyöryhmä</v>
      </c>
      <c r="D24" s="3" t="str">
        <f>"sihteeri"</f>
        <v>sihteeri</v>
      </c>
      <c r="E24" s="3" t="str">
        <f>"040-5293710"</f>
        <v>040-5293710</v>
      </c>
      <c r="F24" s="3" t="str">
        <f>"tapiohan@hotmail.com"</f>
        <v>tapiohan@hotmail.com</v>
      </c>
    </row>
    <row r="25" spans="1:6" ht="15">
      <c r="A25" s="3" t="s">
        <v>29</v>
      </c>
      <c r="B25" s="3" t="str">
        <f>"Koverola"</f>
        <v>Koverola</v>
      </c>
      <c r="C25" s="3" t="str">
        <f>"Kouvolan kaupunki"</f>
        <v>Kouvolan kaupunki</v>
      </c>
      <c r="D25" s="3" t="str">
        <f>"suunnittelupäällikkö"</f>
        <v>suunnittelupäällikkö</v>
      </c>
      <c r="E25" s="3" t="str">
        <f>"0405906369"</f>
        <v>0405906369</v>
      </c>
      <c r="F25" s="3" t="str">
        <f>"Hannu.Koverola@kouvola.fi"</f>
        <v>Hannu.Koverola@kouvola.fi</v>
      </c>
    </row>
    <row r="26" spans="1:6" ht="15">
      <c r="A26" s="3" t="s">
        <v>30</v>
      </c>
      <c r="B26" s="3" t="str">
        <f>"Kangas Katja"</f>
        <v>Kangas Katja</v>
      </c>
      <c r="C26" s="3" t="str">
        <f>"Kouvolan kaupunki, Ympäristöpalvelut"</f>
        <v>Kouvolan kaupunki, Ympäristöpalvelut</v>
      </c>
      <c r="D26" s="3" t="str">
        <f>"Ympäristötarkastaja"</f>
        <v>Ympäristötarkastaja</v>
      </c>
      <c r="E26" s="2"/>
      <c r="F26" s="3" t="str">
        <f>"katja.kangas@kouvola.fi"</f>
        <v>katja.kangas@kouvola.fi</v>
      </c>
    </row>
    <row r="27" spans="1:6" ht="15">
      <c r="A27" s="3" t="s">
        <v>31</v>
      </c>
      <c r="B27" s="3" t="str">
        <f>"Hirvonen Rainer"</f>
        <v>Hirvonen Rainer</v>
      </c>
      <c r="C27" s="3" t="str">
        <f>"P-HA"</f>
        <v>P-HA</v>
      </c>
      <c r="D27" s="3" t="str">
        <f>"Varapuheenjohtaja"</f>
        <v>Varapuheenjohtaja</v>
      </c>
      <c r="E27" s="3" t="str">
        <f>"0400 505 199"</f>
        <v>0400 505 199</v>
      </c>
      <c r="F27" s="3" t="str">
        <f>"rainer.hirvonen@gmail.com"</f>
        <v>rainer.hirvonen@gmail.com</v>
      </c>
    </row>
    <row r="28" spans="1:6" ht="15">
      <c r="A28" s="3" t="s">
        <v>32</v>
      </c>
      <c r="B28" s="3" t="str">
        <f>"Tarkiainen Risto"</f>
        <v>Tarkiainen Risto</v>
      </c>
      <c r="C28" s="3" t="str">
        <f>"Reserviläisurheiluliitto ry"</f>
        <v>Reserviläisurheiluliitto ry</v>
      </c>
      <c r="D28" s="3" t="str">
        <f>"Toiminnanjohtaja"</f>
        <v>Toiminnanjohtaja</v>
      </c>
      <c r="E28" s="3" t="str">
        <f>"050 541 2007"</f>
        <v>050 541 2007</v>
      </c>
      <c r="F28" s="3" t="str">
        <f>"risto.tarkiainen@resul.fi"</f>
        <v>risto.tarkiainen@resul.fi</v>
      </c>
    </row>
    <row r="29" spans="1:6" ht="15">
      <c r="A29" s="3" t="s">
        <v>33</v>
      </c>
      <c r="B29" s="3" t="str">
        <f>"Kesänen Seppo"</f>
        <v>Kesänen Seppo</v>
      </c>
      <c r="C29" s="3" t="str">
        <f>"Puolustusvoimat, Itä-Suomen Huoltorykmentin Esikunta"</f>
        <v>Puolustusvoimat, Itä-Suomen Huoltorykmentin Esikunta</v>
      </c>
      <c r="D29" s="3" t="str">
        <f>"Kiinteistöpäällikkö"</f>
        <v>Kiinteistöpäällikkö</v>
      </c>
      <c r="E29" s="3" t="str">
        <f>"0299 462 291"</f>
        <v>0299 462 291</v>
      </c>
      <c r="F29" s="3" t="str">
        <f>"seppo.kesanen@mil.fi"</f>
        <v>seppo.kesanen@mil.fi</v>
      </c>
    </row>
    <row r="30" spans="1:6" ht="15">
      <c r="A30" s="3" t="s">
        <v>34</v>
      </c>
      <c r="B30" s="3" t="str">
        <f>"Halonen, Kati"</f>
        <v>Halonen, Kati</v>
      </c>
      <c r="C30" s="3" t="str">
        <f>"Kouvolan kaupunki/Ympäristöpalvelut"</f>
        <v>Kouvolan kaupunki/Ympäristöpalvelut</v>
      </c>
      <c r="D30" s="3" t="str">
        <f>"ympäristötarkastaja"</f>
        <v>ympäristötarkastaja</v>
      </c>
      <c r="E30" s="3" t="str">
        <f>"040 7285252"</f>
        <v>040 7285252</v>
      </c>
      <c r="F30" s="3" t="str">
        <f>"kati.halonen@kouvola.fi"</f>
        <v>kati.halonen@kouvola.fi</v>
      </c>
    </row>
    <row r="31" spans="1:6" ht="15">
      <c r="A31" s="3" t="s">
        <v>35</v>
      </c>
      <c r="B31" s="3" t="str">
        <f>"Friman Hannu"</f>
        <v>Friman Hannu</v>
      </c>
      <c r="C31" s="3" t="str">
        <f>"Kouvolan kaupunki, ympäristöpalvelut"</f>
        <v>Kouvolan kaupunki, ympäristöpalvelut</v>
      </c>
      <c r="D31" s="3" t="str">
        <f>"vs. ympäristönsuojelupäällikkö"</f>
        <v>vs. ympäristönsuojelupäällikkö</v>
      </c>
      <c r="E31" s="3" t="str">
        <f>"0206157900"</f>
        <v>0206157900</v>
      </c>
      <c r="F31" s="3" t="str">
        <f>"hannu.friman@kouvola.fi"</f>
        <v>hannu.friman@kouvola.fi</v>
      </c>
    </row>
    <row r="32" spans="1:6" ht="15">
      <c r="A32" s="3" t="s">
        <v>36</v>
      </c>
      <c r="B32" s="3" t="str">
        <f>"Aho Antti"</f>
        <v>Aho Antti</v>
      </c>
      <c r="C32" s="3" t="str">
        <f>"Kosken Tl Eränkävijät/KoE"</f>
        <v>Kosken Tl Eränkävijät/KoE</v>
      </c>
      <c r="D32" s="3" t="str">
        <f>"Ampumaurheiluliiton/ riistamaalijaoston jäsen"</f>
        <v>Ampumaurheiluliiton/ riistamaalijaoston jäsen</v>
      </c>
      <c r="E32" s="3" t="str">
        <f>"0440765292"</f>
        <v>0440765292</v>
      </c>
      <c r="F32" s="3" t="str">
        <f>"antti_aho@luukku.com"</f>
        <v>antti_aho@luukku.com</v>
      </c>
    </row>
    <row r="33" spans="1:6" ht="15">
      <c r="A33" s="3" t="s">
        <v>37</v>
      </c>
      <c r="B33" s="3" t="str">
        <f>"Kemppi Jukka"</f>
        <v>Kemppi Jukka</v>
      </c>
      <c r="C33" s="3" t="str">
        <f>"Reserviläisurheiluliitto"</f>
        <v>Reserviläisurheiluliitto</v>
      </c>
      <c r="D33" s="3" t="str">
        <f>"Palvelusammuntatoimikunta"</f>
        <v>Palvelusammuntatoimikunta</v>
      </c>
      <c r="E33" s="3" t="str">
        <f>"0500-537278"</f>
        <v>0500-537278</v>
      </c>
      <c r="F33" s="3" t="str">
        <f>"jukka.kemppi@gmail.com"</f>
        <v>jukka.kemppi@gmail.com</v>
      </c>
    </row>
    <row r="34" spans="1:6" ht="15">
      <c r="A34" s="3" t="s">
        <v>38</v>
      </c>
      <c r="B34" s="3" t="str">
        <f>"Sysilampi, Timo"</f>
        <v>Sysilampi, Timo</v>
      </c>
      <c r="C34" s="3" t="str">
        <f>"Reserviläisurheiluliitto"</f>
        <v>Reserviläisurheiluliitto</v>
      </c>
      <c r="D34" s="3" t="str">
        <f>"Puheenjohtaja"</f>
        <v>Puheenjohtaja</v>
      </c>
      <c r="E34" s="3" t="str">
        <f>"040 5587862"</f>
        <v>040 5587862</v>
      </c>
      <c r="F34" s="3" t="str">
        <f>"timo.sysilampi@frami.fi"</f>
        <v>timo.sysilampi@frami.fi</v>
      </c>
    </row>
    <row r="35" spans="1:6" ht="15">
      <c r="A35" s="3" t="s">
        <v>39</v>
      </c>
      <c r="B35" s="3" t="str">
        <f>"Kärkinen Hannele"</f>
        <v>Kärkinen Hannele</v>
      </c>
      <c r="C35" s="3" t="str">
        <f>"Uudenmaan ELY-keskus"</f>
        <v>Uudenmaan ELY-keskus</v>
      </c>
      <c r="D35" s="3" t="str">
        <f>"ympäristöinsinööri"</f>
        <v>ympäristöinsinööri</v>
      </c>
      <c r="E35" s="3" t="str">
        <f>"0400291975"</f>
        <v>0400291975</v>
      </c>
      <c r="F35" s="3" t="str">
        <f>"hannele.karkinen@ely-keskus.fi"</f>
        <v>hannele.karkinen@ely-keskus.fi</v>
      </c>
    </row>
    <row r="36" spans="1:6" ht="15">
      <c r="A36" s="3" t="s">
        <v>40</v>
      </c>
      <c r="B36" s="3" t="str">
        <f>"Haapaniemi, Jenni"</f>
        <v>Haapaniemi, Jenni</v>
      </c>
      <c r="C36" s="3" t="str">
        <f>"Ramboll Finland Oy"</f>
        <v>Ramboll Finland Oy</v>
      </c>
      <c r="D36" s="3" t="str">
        <f>"Suunnittelija"</f>
        <v>Suunnittelija</v>
      </c>
      <c r="E36" s="3" t="str">
        <f>"040 765 6767"</f>
        <v>040 765 6767</v>
      </c>
      <c r="F36" s="3" t="str">
        <f>"jenni.haapaniemi@ramboll.fi"</f>
        <v>jenni.haapaniemi@ramboll.fi</v>
      </c>
    </row>
    <row r="37" spans="1:6" ht="15">
      <c r="A37" s="3" t="s">
        <v>41</v>
      </c>
      <c r="B37" s="3" t="str">
        <f>"Monto, Erja"</f>
        <v>Monto, Erja</v>
      </c>
      <c r="C37" s="3" t="str">
        <f>"Kaakkois-Suomen elinkeino-, liikenne- ja ympäristökeskus"</f>
        <v>Kaakkois-Suomen elinkeino-, liikenne- ja ympäristökeskus</v>
      </c>
      <c r="D37" s="3" t="str">
        <f>"ylitarkastaja"</f>
        <v>ylitarkastaja</v>
      </c>
      <c r="E37" s="3" t="str">
        <f>"0400551715"</f>
        <v>0400551715</v>
      </c>
      <c r="F37" s="3" t="str">
        <f>"erja.monto@ely-keskus.fi"</f>
        <v>erja.monto@ely-keskus.fi</v>
      </c>
    </row>
    <row r="38" spans="1:6" ht="15">
      <c r="A38" s="3" t="s">
        <v>42</v>
      </c>
      <c r="B38" s="3" t="str">
        <f>"Ripatti, Juha-Pekka"</f>
        <v>Ripatti, Juha-Pekka</v>
      </c>
      <c r="C38" s="3" t="str">
        <f>"Ampumaurheilukeskus Helsinki Metropoli"</f>
        <v>Ampumaurheilukeskus Helsinki Metropoli</v>
      </c>
      <c r="D38" s="3" t="str">
        <f>"Hankevastaava"</f>
        <v>Hankevastaava</v>
      </c>
      <c r="E38" s="3" t="str">
        <f>"0400-463 941"</f>
        <v>0400-463 941</v>
      </c>
      <c r="F38" s="3" t="str">
        <f>"juha-pekka@jpripatti.net"</f>
        <v>juha-pekka@jpripatti.net</v>
      </c>
    </row>
    <row r="39" spans="1:6" ht="15">
      <c r="A39" s="3" t="s">
        <v>43</v>
      </c>
      <c r="B39" s="3" t="str">
        <f>"Lainevirta, Markku"</f>
        <v>Lainevirta, Markku</v>
      </c>
      <c r="C39" s="3" t="str">
        <f>"Ampumaharrastusfoorumi"</f>
        <v>Ampumaharrastusfoorumi</v>
      </c>
      <c r="D39" s="3" t="str">
        <f>"AMPU-hankepäällikkö"</f>
        <v>AMPU-hankepäällikkö</v>
      </c>
      <c r="E39" s="3" t="str">
        <f>"040 527 4402"</f>
        <v>040 527 4402</v>
      </c>
      <c r="F39" s="3" t="str">
        <f>"markku.lainevirta@tintti.net"</f>
        <v>markku.lainevirta@tintti.net</v>
      </c>
    </row>
    <row r="40" spans="1:6" ht="15">
      <c r="A40" s="3" t="s">
        <v>44</v>
      </c>
      <c r="B40" s="3" t="str">
        <f>"Gerasimoff, Jari"</f>
        <v>Gerasimoff, Jari</v>
      </c>
      <c r="C40" s="3" t="str">
        <f>"PorkkA"</f>
        <v>PorkkA</v>
      </c>
      <c r="D40" s="3" t="str">
        <f>"jäsen"</f>
        <v>jäsen</v>
      </c>
      <c r="E40" s="2"/>
      <c r="F40" s="3" t="str">
        <f>"jari.gerasimoff@gmail.com"</f>
        <v>jari.gerasimoff@gmail.com</v>
      </c>
    </row>
    <row r="41" spans="1:6" ht="15">
      <c r="A41" s="3" t="s">
        <v>45</v>
      </c>
      <c r="B41" s="3" t="str">
        <f>"Kuusisto Kari"</f>
        <v>Kuusisto Kari</v>
      </c>
      <c r="C41" s="3" t="str">
        <f>"HSY"</f>
        <v>HSY</v>
      </c>
      <c r="D41" s="3" t="str">
        <f>"Hallituksen jäsen"</f>
        <v>Hallituksen jäsen</v>
      </c>
      <c r="E41" s="3" t="str">
        <f>"0505311939"</f>
        <v>0505311939</v>
      </c>
      <c r="F41" s="3" t="str">
        <f>"kari.kuusisto@karikuusisto.fi"</f>
        <v>kari.kuusisto@karikuusisto.fi</v>
      </c>
    </row>
    <row r="42" spans="1:6" ht="15">
      <c r="A42" s="3" t="s">
        <v>46</v>
      </c>
      <c r="B42" s="3" t="str">
        <f>"Elsilä Ari"</f>
        <v>Elsilä Ari</v>
      </c>
      <c r="C42" s="3" t="str">
        <f>"Tampereen kaupunki, ympäristönsuojelu"</f>
        <v>Tampereen kaupunki, ympäristönsuojelu</v>
      </c>
      <c r="D42" s="3" t="str">
        <f>"Terveysinsinööri"</f>
        <v>Terveysinsinööri</v>
      </c>
      <c r="E42" s="2"/>
      <c r="F42" s="3" t="str">
        <f>"ari.elsila@tampere.fi"</f>
        <v>ari.elsila@tampere.fi</v>
      </c>
    </row>
    <row r="43" spans="1:6" ht="15">
      <c r="A43" s="3" t="s">
        <v>47</v>
      </c>
      <c r="B43" s="3" t="str">
        <f>"Suominen Jarmo"</f>
        <v>Suominen Jarmo</v>
      </c>
      <c r="C43" s="3" t="str">
        <f>"Hyvinkään Ampumaurheilukeskus"</f>
        <v>Hyvinkään Ampumaurheilukeskus</v>
      </c>
      <c r="D43" s="3" t="str">
        <f>"Ympäristökoordinaattori"</f>
        <v>Ympäristökoordinaattori</v>
      </c>
      <c r="E43" s="3" t="str">
        <f>"0500712473"</f>
        <v>0500712473</v>
      </c>
      <c r="F43" s="3" t="str">
        <f>"jarmo.suominen@netti.fi"</f>
        <v>jarmo.suominen@netti.fi</v>
      </c>
    </row>
    <row r="44" spans="1:6" ht="15">
      <c r="A44" s="3" t="s">
        <v>48</v>
      </c>
      <c r="B44" s="3" t="str">
        <f>"Suojasto, Sanna-Liisa"</f>
        <v>Suojasto, Sanna-Liisa</v>
      </c>
      <c r="C44" s="3" t="str">
        <f>"Varsinais-Suomen ELY-keskus"</f>
        <v>Varsinais-Suomen ELY-keskus</v>
      </c>
      <c r="D44" s="3" t="str">
        <f>"ylitarkastaja"</f>
        <v>ylitarkastaja</v>
      </c>
      <c r="E44" s="2"/>
      <c r="F44" s="3" t="str">
        <f>"sanna-liisa.suojasto@ely-keskus.fi"</f>
        <v>sanna-liisa.suojasto@ely-keskus.fi</v>
      </c>
    </row>
    <row r="45" spans="1:6" ht="15">
      <c r="A45" s="3" t="s">
        <v>49</v>
      </c>
      <c r="B45" s="3" t="str">
        <f>"Martelin, Mika"</f>
        <v>Martelin, Mika</v>
      </c>
      <c r="C45" s="3" t="str">
        <f>"Juuan Reserviläiset ry."</f>
        <v>Juuan Reserviläiset ry.</v>
      </c>
      <c r="D45" s="3" t="str">
        <f>"Asevastaava"</f>
        <v>Asevastaava</v>
      </c>
      <c r="E45" s="3" t="str">
        <f>"0440627898"</f>
        <v>0440627898</v>
      </c>
      <c r="F45" s="3" t="str">
        <f>"mika.martelin@gmail.com"</f>
        <v>mika.martelin@gmail.com</v>
      </c>
    </row>
    <row r="46" spans="1:6" ht="15">
      <c r="A46" s="3" t="s">
        <v>50</v>
      </c>
      <c r="B46" s="3" t="str">
        <f>"Savolainen Pekka"</f>
        <v>Savolainen Pekka</v>
      </c>
      <c r="C46" s="3" t="str">
        <f>"Mäntsälän kunta"</f>
        <v>Mäntsälän kunta</v>
      </c>
      <c r="D46" s="3" t="str">
        <f>"tekninen johtaja"</f>
        <v>tekninen johtaja</v>
      </c>
      <c r="E46" s="3" t="str">
        <f>"040 314 5430"</f>
        <v>040 314 5430</v>
      </c>
      <c r="F46" s="3" t="str">
        <f>"pekka.savolainen@mantsala.fi"</f>
        <v>pekka.savolainen@mantsala.fi</v>
      </c>
    </row>
    <row r="47" spans="1:6" ht="15">
      <c r="A47" s="3" t="s">
        <v>51</v>
      </c>
      <c r="B47" s="3" t="str">
        <f>"Järvinen, Kimmo"</f>
        <v>Järvinen, Kimmo</v>
      </c>
      <c r="C47" s="3" t="str">
        <f>"Ramboll Finland Oy"</f>
        <v>Ramboll Finland Oy</v>
      </c>
      <c r="D47" s="3" t="str">
        <f>"Toimialapäällikkö"</f>
        <v>Toimialapäällikkö</v>
      </c>
      <c r="E47" s="3" t="str">
        <f>"0400-833147"</f>
        <v>0400-833147</v>
      </c>
      <c r="F47" s="3" t="str">
        <f>"kimmo.jarvinen@ramboll.fi"</f>
        <v>kimmo.jarvinen@ramboll.fi</v>
      </c>
    </row>
    <row r="48" spans="1:6" ht="15">
      <c r="A48" s="3" t="s">
        <v>52</v>
      </c>
      <c r="B48" s="3" t="str">
        <f>"Malminen Olavi"</f>
        <v>Malminen Olavi</v>
      </c>
      <c r="C48" s="3" t="str">
        <f>"Orimattilan Seudun Urheiluampujat ry"</f>
        <v>Orimattilan Seudun Urheiluampujat ry</v>
      </c>
      <c r="D48" s="3" t="str">
        <f>"kunniapuheenjohtaja"</f>
        <v>kunniapuheenjohtaja</v>
      </c>
      <c r="E48" s="3" t="str">
        <f>"0400206527"</f>
        <v>0400206527</v>
      </c>
      <c r="F48" s="3" t="str">
        <f>"olli.malminen@luukku.com"</f>
        <v>olli.malminen@luukku.com</v>
      </c>
    </row>
    <row r="49" spans="1:6" ht="15">
      <c r="A49" s="3" t="s">
        <v>53</v>
      </c>
      <c r="B49" s="3" t="str">
        <f>"Korpi Mirva"</f>
        <v>Korpi Mirva</v>
      </c>
      <c r="C49" s="3" t="str">
        <f>"Lapuan kaupunki"</f>
        <v>Lapuan kaupunki</v>
      </c>
      <c r="D49" s="3" t="str">
        <f>"ympäristöinsinööri"</f>
        <v>ympäristöinsinööri</v>
      </c>
      <c r="E49" s="3" t="str">
        <f>"044-4384710"</f>
        <v>044-4384710</v>
      </c>
      <c r="F49" s="3" t="str">
        <f>"mirva.korpi@lapua.fi"</f>
        <v>mirva.korpi@lapua.fi</v>
      </c>
    </row>
    <row r="50" spans="1:6" ht="15">
      <c r="A50" s="3" t="s">
        <v>54</v>
      </c>
      <c r="B50" s="3" t="str">
        <f>"Suomalainen Toni"</f>
        <v>Suomalainen Toni</v>
      </c>
      <c r="C50" s="3" t="str">
        <f>"Keski-Karjalan Ampumaratayhdistys"</f>
        <v>Keski-Karjalan Ampumaratayhdistys</v>
      </c>
      <c r="D50" s="3" t="str">
        <f>"puheenjohtaja"</f>
        <v>puheenjohtaja</v>
      </c>
      <c r="E50" s="3" t="str">
        <f>"050-5988417"</f>
        <v>050-5988417</v>
      </c>
      <c r="F50" s="3" t="str">
        <f>"toni.suomalainen@metsaliitto.fi"</f>
        <v>toni.suomalainen@metsaliitto.fi</v>
      </c>
    </row>
    <row r="51" spans="1:6" ht="15">
      <c r="A51" s="3" t="s">
        <v>55</v>
      </c>
      <c r="B51" s="3" t="str">
        <f>"Liukku Raimo"</f>
        <v>Liukku Raimo</v>
      </c>
      <c r="C51" s="3" t="str">
        <f>"Keski-Karjalan Ampumaratayhdistys"</f>
        <v>Keski-Karjalan Ampumaratayhdistys</v>
      </c>
      <c r="D51" s="3" t="str">
        <f>"sihteeri"</f>
        <v>sihteeri</v>
      </c>
      <c r="E51" s="2"/>
      <c r="F51" s="3" t="str">
        <f>"raimo.liukku@elisanet.fi"</f>
        <v>raimo.liukku@elisanet.fi</v>
      </c>
    </row>
    <row r="52" spans="1:6" ht="15">
      <c r="A52" s="3" t="s">
        <v>56</v>
      </c>
      <c r="B52" s="3" t="str">
        <f>"Juha Järvinen, Juhani Tujunen"</f>
        <v>Juha Järvinen, Juhani Tujunen</v>
      </c>
      <c r="C52" s="3" t="str">
        <f>"Toijalan Seudun Erämiehet ry"</f>
        <v>Toijalan Seudun Erämiehet ry</v>
      </c>
      <c r="D52" s="3" t="str">
        <f>"Puheenjohtaja, Hallituksen jäsen ja A-ratavastaava"</f>
        <v>Puheenjohtaja, Hallituksen jäsen ja A-ratavastaava</v>
      </c>
      <c r="E52" s="3" t="str">
        <f>"0408683558"</f>
        <v>0408683558</v>
      </c>
      <c r="F52" s="3" t="str">
        <f>"juha.jarvinen@flaktwoods.com"</f>
        <v>juha.jarvinen@flaktwoods.com</v>
      </c>
    </row>
    <row r="53" spans="1:6" ht="15">
      <c r="A53" s="3" t="s">
        <v>57</v>
      </c>
      <c r="B53" s="3" t="str">
        <f>"Tujunen Juhani"</f>
        <v>Tujunen Juhani</v>
      </c>
      <c r="C53" s="3" t="str">
        <f>"Toijalan Seudun Erämiehet ry"</f>
        <v>Toijalan Seudun Erämiehet ry</v>
      </c>
      <c r="D53" s="3" t="str">
        <f>"A-ratavastaava"</f>
        <v>A-ratavastaava</v>
      </c>
      <c r="E53" s="2"/>
      <c r="F53" s="3" t="str">
        <f>"jussi.tujunen@AKAANKONE.fi"</f>
        <v>jussi.tujunen@AKAANKONE.fi</v>
      </c>
    </row>
    <row r="54" spans="1:6" ht="15">
      <c r="A54" s="3" t="s">
        <v>58</v>
      </c>
      <c r="B54" s="3" t="str">
        <f>"Rauhala, Mauri"</f>
        <v>Rauhala, Mauri</v>
      </c>
      <c r="C54" s="3" t="str">
        <f>"Merivoimien Esikunta"</f>
        <v>Merivoimien Esikunta</v>
      </c>
      <c r="D54" s="3" t="str">
        <f>"Sektorinjohtaja"</f>
        <v>Sektorinjohtaja</v>
      </c>
      <c r="E54" s="3" t="str">
        <f>"0400-841263"</f>
        <v>0400-841263</v>
      </c>
      <c r="F54" s="3" t="str">
        <f>"mauri.rauhala@mil.fi"</f>
        <v>mauri.rauhala@mil.fi</v>
      </c>
    </row>
    <row r="55" spans="1:6" ht="15">
      <c r="A55" s="3" t="s">
        <v>59</v>
      </c>
      <c r="B55" s="3" t="str">
        <f>"Sankala Kari"</f>
        <v>Sankala Kari</v>
      </c>
      <c r="C55" s="3" t="str">
        <f>"Hyvinkään Metsästysampujat ry"</f>
        <v>Hyvinkään Metsästysampujat ry</v>
      </c>
      <c r="D55" s="3" t="str">
        <f>"Ympäristölupavastaava"</f>
        <v>Ympäristölupavastaava</v>
      </c>
      <c r="E55" s="2"/>
      <c r="F55" s="3" t="str">
        <f>"karisankala@hotmail.com"</f>
        <v>karisankala@hotmail.com</v>
      </c>
    </row>
    <row r="56" spans="1:6" ht="15">
      <c r="A56" s="3" t="s">
        <v>60</v>
      </c>
      <c r="B56" s="3" t="str">
        <f>"Kiuru Timo"</f>
        <v>Kiuru Timo</v>
      </c>
      <c r="C56" s="3" t="str">
        <f>"Corbel Oy / c/o Pohjola Vakuutus Oy"</f>
        <v>Corbel Oy / c/o Pohjola Vakuutus Oy</v>
      </c>
      <c r="D56" s="3" t="str">
        <f>"Kiinteistöpäällikkö"</f>
        <v>Kiinteistöpäällikkö</v>
      </c>
      <c r="E56" s="3" t="str">
        <f>"0407110377"</f>
        <v>0407110377</v>
      </c>
      <c r="F56" s="3" t="str">
        <f>"timo.kiuru@corbel.fi"</f>
        <v>timo.kiuru@corbel.fi</v>
      </c>
    </row>
    <row r="57" spans="1:6" ht="15">
      <c r="A57" s="3" t="s">
        <v>61</v>
      </c>
      <c r="B57" s="3" t="str">
        <f>"juliaana Riehunkangas"</f>
        <v>juliaana Riehunkangas</v>
      </c>
      <c r="C57" s="3" t="str">
        <f>"Puolustusvoimat, Kaartin Jääkärirykmentti"</f>
        <v>Puolustusvoimat, Kaartin Jääkärirykmentti</v>
      </c>
      <c r="D57" s="3" t="str">
        <f>"Huolto-osastolla, huoltosektorin johtaja"</f>
        <v>Huolto-osastolla, huoltosektorin johtaja</v>
      </c>
      <c r="E57" s="3" t="str">
        <f>"0299 421 250"</f>
        <v>0299 421 250</v>
      </c>
      <c r="F57" s="3" t="str">
        <f>"juliaana.riehunkangas@mil.fi"</f>
        <v>juliaana.riehunkangas@mil.fi</v>
      </c>
    </row>
    <row r="58" spans="1:6" ht="15">
      <c r="A58" s="3" t="s">
        <v>62</v>
      </c>
      <c r="B58" s="3" t="str">
        <f>"Könönen Matti"</f>
        <v>Könönen Matti</v>
      </c>
      <c r="C58" s="3" t="str">
        <f>"Puolustusvoimat, Kaartin Jääkärirykmentti"</f>
        <v>Puolustusvoimat, Kaartin Jääkärirykmentti</v>
      </c>
      <c r="D58" s="3" t="str">
        <f>"Työsuojelu- ja ympäristöpäällikkö"</f>
        <v>Työsuojelu- ja ympäristöpäällikkö</v>
      </c>
      <c r="E58" s="3" t="str">
        <f>"0299 421252"</f>
        <v>0299 421252</v>
      </c>
      <c r="F58" s="3" t="str">
        <f>"matti.kononen@mil.fi"</f>
        <v>matti.kononen@mil.fi</v>
      </c>
    </row>
    <row r="59" spans="1:6" ht="15">
      <c r="A59" s="3" t="s">
        <v>63</v>
      </c>
      <c r="B59" s="3" t="str">
        <f>"Nieminen Antti"</f>
        <v>Nieminen Antti</v>
      </c>
      <c r="C59" s="3" t="str">
        <f>"Maanpuolustuskoulutusyhdistys (MPK)"</f>
        <v>Maanpuolustuskoulutusyhdistys (MPK)</v>
      </c>
      <c r="D59" s="3" t="str">
        <f>"Koulutuspäällikkö"</f>
        <v>Koulutuspäällikkö</v>
      </c>
      <c r="E59" s="3" t="str">
        <f>"040 756 5626"</f>
        <v>040 756 5626</v>
      </c>
      <c r="F59" s="3" t="str">
        <f>"antti.nieminen@mpky.fi"</f>
        <v>antti.nieminen@mpky.fi</v>
      </c>
    </row>
    <row r="60" spans="1:6" ht="15">
      <c r="A60" s="3" t="s">
        <v>64</v>
      </c>
      <c r="B60" s="3" t="str">
        <f>"Rouvinen Esa"</f>
        <v>Rouvinen Esa</v>
      </c>
      <c r="C60" s="3" t="str">
        <f>"Etelä-Savon ELY -keskus"</f>
        <v>Etelä-Savon ELY -keskus</v>
      </c>
      <c r="D60" s="3" t="str">
        <f>"Ympäristöinsinööri"</f>
        <v>Ympäristöinsinööri</v>
      </c>
      <c r="E60" s="2"/>
      <c r="F60" s="3" t="str">
        <f>"esa.rouvinen@ely-keskus.fi"</f>
        <v>esa.rouvinen@ely-keskus.fi</v>
      </c>
    </row>
    <row r="61" spans="1:6" ht="15">
      <c r="A61" s="3" t="s">
        <v>65</v>
      </c>
      <c r="B61" s="3" t="str">
        <f>"Tamminen,heikki"</f>
        <v>Tamminen,heikki</v>
      </c>
      <c r="C61" s="3" t="str">
        <f>"Janakkalan kunta"</f>
        <v>Janakkalan kunta</v>
      </c>
      <c r="D61" s="3" t="str">
        <f>"ympäristöpäällikkö"</f>
        <v>ympäristöpäällikkö</v>
      </c>
      <c r="E61" s="3" t="str">
        <f>"0500446713"</f>
        <v>0500446713</v>
      </c>
      <c r="F61" s="3" t="str">
        <f>"heikki.tamminen@janakkala.fi"</f>
        <v>heikki.tamminen@janakkala.fi</v>
      </c>
    </row>
    <row r="62" spans="1:6" ht="15">
      <c r="A62" s="3" t="s">
        <v>66</v>
      </c>
      <c r="B62" s="3" t="str">
        <f>"Torsti Heikkinen"</f>
        <v>Torsti Heikkinen</v>
      </c>
      <c r="C62" s="3" t="str">
        <f>"Hyvinkään Metsästys-ja Ampumaseura ry"</f>
        <v>Hyvinkään Metsästys-ja Ampumaseura ry</v>
      </c>
      <c r="D62" s="3" t="str">
        <f>"Sihteeri"</f>
        <v>Sihteeri</v>
      </c>
      <c r="E62" s="3" t="str">
        <f>"0400-488080"</f>
        <v>0400-488080</v>
      </c>
      <c r="F62" s="3" t="str">
        <f>"torsti.heikkinen@konecranes.com"</f>
        <v>torsti.heikkinen@konecranes.com</v>
      </c>
    </row>
    <row r="63" spans="1:6" ht="15">
      <c r="A63" s="3" t="s">
        <v>67</v>
      </c>
      <c r="B63" s="3" t="str">
        <f>"Kalervo Juhola"</f>
        <v>Kalervo Juhola</v>
      </c>
      <c r="C63" s="3" t="str">
        <f>"Hyvinkää Reserviupseerit"</f>
        <v>Hyvinkää Reserviupseerit</v>
      </c>
      <c r="D63" s="3" t="str">
        <f>"Johtokunnan jäsen"</f>
        <v>Johtokunnan jäsen</v>
      </c>
      <c r="E63" s="3" t="str">
        <f>"0400-802240"</f>
        <v>0400-802240</v>
      </c>
      <c r="F63" s="3" t="str">
        <f>"kalervo.juhola@pp.inet.fi"</f>
        <v>kalervo.juhola@pp.inet.fi</v>
      </c>
    </row>
    <row r="64" spans="1:6" ht="15">
      <c r="A64" s="3" t="s">
        <v>68</v>
      </c>
      <c r="B64" s="3" t="str">
        <f>"Pokka Hannele"</f>
        <v>Pokka Hannele</v>
      </c>
      <c r="C64" s="3" t="str">
        <f>"Ympäristöministeriö"</f>
        <v>Ympäristöministeriö</v>
      </c>
      <c r="D64" s="3" t="str">
        <f>"Kansliapäällikkö"</f>
        <v>Kansliapäällikkö</v>
      </c>
      <c r="E64" s="3" t="str">
        <f>"040 482 2772"</f>
        <v>040 482 2772</v>
      </c>
      <c r="F64" s="3" t="str">
        <f>"hannele.pokka@ymparisto.fi"</f>
        <v>hannele.pokka@ymparisto.fi</v>
      </c>
    </row>
    <row r="65" spans="1:6" ht="15">
      <c r="A65" s="3" t="s">
        <v>69</v>
      </c>
      <c r="B65" s="3" t="str">
        <f>"Atiainen Markus"</f>
        <v>Atiainen Markus</v>
      </c>
      <c r="C65" s="3" t="str">
        <f>"Etelä-Suomen alue"</f>
        <v>Etelä-Suomen alue</v>
      </c>
      <c r="D65" s="3" t="str">
        <f>"varapuheenjohtaja"</f>
        <v>varapuheenjohtaja</v>
      </c>
      <c r="E65" s="3" t="str">
        <f>"050 3581612"</f>
        <v>050 3581612</v>
      </c>
      <c r="F65" s="3" t="str">
        <f>"markus.ahtiainen@hel.fi"</f>
        <v>markus.ahtiainen@hel.fi</v>
      </c>
    </row>
    <row r="66" spans="1:6" ht="15">
      <c r="A66" s="3" t="s">
        <v>70</v>
      </c>
      <c r="B66" s="3" t="str">
        <f>"Kaislaranta Mikael"</f>
        <v>Kaislaranta Mikael</v>
      </c>
      <c r="C66" s="3" t="str">
        <f>"Helsingin Varuskunnan Ampujat ry"</f>
        <v>Helsingin Varuskunnan Ampujat ry</v>
      </c>
      <c r="D66" s="3" t="str">
        <f>"Hallituksen jäsen"</f>
        <v>Hallituksen jäsen</v>
      </c>
      <c r="E66" s="3" t="str">
        <f>"044 5980995"</f>
        <v>044 5980995</v>
      </c>
      <c r="F66" s="3" t="str">
        <f>"mikael@kaislaranta.fi"</f>
        <v>mikael@kaislaranta.fi</v>
      </c>
    </row>
    <row r="67" spans="1:6" ht="15">
      <c r="A67" s="3" t="s">
        <v>71</v>
      </c>
      <c r="B67" s="3" t="str">
        <f>"Ekholm Per-Henrik"</f>
        <v>Ekholm Per-Henrik</v>
      </c>
      <c r="C67" s="3" t="str">
        <f>"Mäntsälän Ampumaratayhdistys ry"</f>
        <v>Mäntsälän Ampumaratayhdistys ry</v>
      </c>
      <c r="D67" s="3" t="str">
        <f>"Puheenjohtaja"</f>
        <v>Puheenjohtaja</v>
      </c>
      <c r="E67" s="3" t="str">
        <f>"0400 306753"</f>
        <v>0400 306753</v>
      </c>
      <c r="F67" s="3" t="str">
        <f>"per-henrik.ekholm@msoynet.com"</f>
        <v>per-henrik.ekholm@msoynet.com</v>
      </c>
    </row>
    <row r="68" spans="1:6" ht="15">
      <c r="A68" s="3" t="s">
        <v>72</v>
      </c>
      <c r="B68" s="3" t="str">
        <f>"Rantsi, Riina"</f>
        <v>Rantsi, Riina</v>
      </c>
      <c r="C68" s="3" t="str">
        <f>"Suomen Erityisjäte Oy"</f>
        <v>Suomen Erityisjäte Oy</v>
      </c>
      <c r="D68" s="3" t="str">
        <f>"Ympäristöasiantuntija"</f>
        <v>Ympäristöasiantuntija</v>
      </c>
      <c r="E68" s="3" t="str">
        <f>"0407258999"</f>
        <v>0407258999</v>
      </c>
      <c r="F68" s="3" t="str">
        <f>"riina.rantsi@erityisjate.fi"</f>
        <v>riina.rantsi@erityisjate.fi</v>
      </c>
    </row>
    <row r="69" spans="1:6" ht="15">
      <c r="A69" s="3" t="s">
        <v>73</v>
      </c>
      <c r="B69" s="3" t="str">
        <f>"Laine Kari"</f>
        <v>Laine Kari</v>
      </c>
      <c r="C69" s="3" t="str">
        <f>"Pieksämäen Riistanhoitoyhdistys"</f>
        <v>Pieksämäen Riistanhoitoyhdistys</v>
      </c>
      <c r="D69" s="3" t="str">
        <f>"Toiminnanohjaaja"</f>
        <v>Toiminnanohjaaja</v>
      </c>
      <c r="E69" s="3" t="str">
        <f>"0405573177"</f>
        <v>0405573177</v>
      </c>
      <c r="F69" s="3" t="str">
        <f>"pieksamaki@riista.fi"</f>
        <v>pieksamaki@riista.fi</v>
      </c>
    </row>
    <row r="70" spans="1:6" ht="15">
      <c r="A70" s="3" t="s">
        <v>74</v>
      </c>
      <c r="B70" s="3" t="str">
        <f>"Sevon Mikael"</f>
        <v>Sevon Mikael</v>
      </c>
      <c r="C70" s="3" t="str">
        <f>"Puolustusvoimat, Kaartin Jääkärirykmentti"</f>
        <v>Puolustusvoimat, Kaartin Jääkärirykmentti</v>
      </c>
      <c r="D70" s="3" t="str">
        <f>"Koulutusosasto, tutkimus- ja kehittämissektorin johtaja"</f>
        <v>Koulutusosasto, tutkimus- ja kehittämissektorin johtaja</v>
      </c>
      <c r="E70" s="3" t="str">
        <f>"0299 421410"</f>
        <v>0299 421410</v>
      </c>
      <c r="F70" s="3" t="str">
        <f>"mikael.sevon@mil.fi"</f>
        <v>mikael.sevon@mil.fi</v>
      </c>
    </row>
    <row r="71" spans="1:6" ht="15">
      <c r="A71" s="3" t="s">
        <v>75</v>
      </c>
      <c r="B71" s="3" t="str">
        <f>"Janne Kosonen"</f>
        <v>Janne Kosonen</v>
      </c>
      <c r="C71" s="3" t="str">
        <f>"Suomen Reserviupseeriliitto ry"</f>
        <v>Suomen Reserviupseeriliitto ry</v>
      </c>
      <c r="D71" s="3" t="str">
        <f>"Toiminnanjohtaja"</f>
        <v>Toiminnanjohtaja</v>
      </c>
      <c r="E71" s="3" t="str">
        <f>"0505810819"</f>
        <v>0505810819</v>
      </c>
      <c r="F71" s="3" t="str">
        <f>"janne.kosonen@rul.fi"</f>
        <v>janne.kosonen@rul.fi</v>
      </c>
    </row>
    <row r="72" spans="1:6" ht="15">
      <c r="A72" s="3" t="s">
        <v>76</v>
      </c>
      <c r="B72" s="3" t="str">
        <f>"Svinhufvud Eino"</f>
        <v>Svinhufvud Eino</v>
      </c>
      <c r="C72" s="3" t="str">
        <f>"RESUL"</f>
        <v>RESUL</v>
      </c>
      <c r="D72" s="3" t="str">
        <f>"Ampuma-asetoimikunta pj"</f>
        <v>Ampuma-asetoimikunta pj</v>
      </c>
      <c r="E72" s="3" t="str">
        <f>"050 5512613"</f>
        <v>050 5512613</v>
      </c>
      <c r="F72" s="3" t="str">
        <f>"eino.svinhufvud@hhpartners.fi "</f>
        <v>eino.svinhufvud@hhpartners.fi </v>
      </c>
    </row>
    <row r="73" spans="1:6" ht="15">
      <c r="A73" s="3" t="s">
        <v>77</v>
      </c>
      <c r="B73" s="3" t="str">
        <f>"Sysimiilu Ilkka"</f>
        <v>Sysimiilu Ilkka</v>
      </c>
      <c r="C73" s="3" t="str">
        <f>"HVA"</f>
        <v>HVA</v>
      </c>
      <c r="D73" s="3" t="str">
        <f>"Reserviläis ammunnan harrastaja"</f>
        <v>Reserviläis ammunnan harrastaja</v>
      </c>
      <c r="E73" s="2"/>
      <c r="F73" s="3" t="str">
        <f>"ilkka.sysimiilu@elisanet.fi"</f>
        <v>ilkka.sysimiilu@elisanet.fi</v>
      </c>
    </row>
    <row r="74" spans="1:6" ht="15">
      <c r="A74" s="3" t="s">
        <v>78</v>
      </c>
      <c r="B74" s="3" t="str">
        <f>"Serenius Katariina"</f>
        <v>Serenius Katariina</v>
      </c>
      <c r="C74" s="3" t="str">
        <f>"Keski-Uudenmaan ympäristökeskus"</f>
        <v>Keski-Uudenmaan ympäristökeskus</v>
      </c>
      <c r="D74" s="3" t="str">
        <f>"ympäristövalvontapäällikkö"</f>
        <v>ympäristövalvontapäällikkö</v>
      </c>
      <c r="E74" s="3" t="str">
        <f>"0403144732"</f>
        <v>0403144732</v>
      </c>
      <c r="F74" s="3" t="str">
        <f>"katariina.serenius@tuusula.fi"</f>
        <v>katariina.serenius@tuusula.fi</v>
      </c>
    </row>
    <row r="75" spans="1:6" ht="15">
      <c r="A75" s="3" t="s">
        <v>79</v>
      </c>
      <c r="B75" s="3" t="str">
        <f>"Liikonen, Larri"</f>
        <v>Liikonen, Larri</v>
      </c>
      <c r="C75" s="3" t="str">
        <f>"Uuudenmaan ELY -keskus"</f>
        <v>Uuudenmaan ELY -keskus</v>
      </c>
      <c r="D75" s="3" t="str">
        <f>"Suunniteli, meluasiantuntija"</f>
        <v>Suunniteli, meluasiantuntija</v>
      </c>
      <c r="E75" s="3" t="str">
        <f>"0405287527"</f>
        <v>0405287527</v>
      </c>
      <c r="F75" s="3" t="str">
        <f>"larri.liikonen@ely-keskus.fi"</f>
        <v>larri.liikonen@ely-keskus.fi</v>
      </c>
    </row>
    <row r="76" spans="1:6" ht="15">
      <c r="A76" s="3" t="s">
        <v>80</v>
      </c>
      <c r="B76" s="3" t="str">
        <f>"Alanen Olavi"</f>
        <v>Alanen Olavi</v>
      </c>
      <c r="C76" s="3" t="str">
        <f>"Kurikka, Kurikan Ampujat ry"</f>
        <v>Kurikka, Kurikan Ampujat ry</v>
      </c>
      <c r="D76" s="3" t="str">
        <f>"Puheenjohtaja"</f>
        <v>Puheenjohtaja</v>
      </c>
      <c r="E76" s="3" t="str">
        <f>"0400-667771"</f>
        <v>0400-667771</v>
      </c>
      <c r="F76" s="3" t="str">
        <f>"olavialanen@netikka.fi"</f>
        <v>olavialanen@netikka.fi</v>
      </c>
    </row>
    <row r="77" spans="1:6" ht="15">
      <c r="A77" s="3" t="s">
        <v>81</v>
      </c>
      <c r="B77" s="3" t="str">
        <f>"Kähkönen Esko "</f>
        <v>Kähkönen Esko </v>
      </c>
      <c r="C77" s="3" t="str">
        <f>"Keski-karjalan Kehitysyhtiö Oy"</f>
        <v>Keski-karjalan Kehitysyhtiö Oy</v>
      </c>
      <c r="D77" s="3" t="str">
        <f>"Projektipäällikkö / Itä-Suomen monitoimikeskus"</f>
        <v>Projektipäällikkö / Itä-Suomen monitoimikeskus</v>
      </c>
      <c r="E77" s="3" t="str">
        <f>"040 704 0889"</f>
        <v>040 704 0889</v>
      </c>
      <c r="F77" s="3" t="str">
        <f>"esko.kahkonen@keti.fi"</f>
        <v>esko.kahkonen@keti.fi</v>
      </c>
    </row>
    <row r="78" spans="1:6" ht="15">
      <c r="A78" s="3" t="s">
        <v>82</v>
      </c>
      <c r="B78" s="3" t="str">
        <f>"Sjöblom Curt"</f>
        <v>Sjöblom Curt</v>
      </c>
      <c r="C78" s="3" t="str">
        <f>"SAL"</f>
        <v>SAL</v>
      </c>
      <c r="D78" s="3" t="str">
        <f>"Varapuheenjohtaja"</f>
        <v>Varapuheenjohtaja</v>
      </c>
      <c r="E78" s="3" t="str">
        <f>"040 5275051"</f>
        <v>040 5275051</v>
      </c>
      <c r="F78" s="3" t="str">
        <f>"contender@kolumbus.fi"</f>
        <v>contender@kolumbus.fi</v>
      </c>
    </row>
    <row r="79" spans="1:6" ht="15">
      <c r="A79" s="3" t="s">
        <v>83</v>
      </c>
      <c r="B79" s="3" t="str">
        <f>"Rajamäki Tanja"</f>
        <v>Rajamäki Tanja</v>
      </c>
      <c r="C79" s="3" t="str">
        <f>"Helsingin ympäristökeskus"</f>
        <v>Helsingin ympäristökeskus</v>
      </c>
      <c r="D79" s="3" t="str">
        <f>"ympäristötarkastaja"</f>
        <v>ympäristötarkastaja</v>
      </c>
      <c r="E79" s="2"/>
      <c r="F79" s="3" t="str">
        <f>"tanja-rajamaki@hel.fi"</f>
        <v>tanja-rajamaki@hel.fi</v>
      </c>
    </row>
    <row r="80" spans="1:6" ht="15">
      <c r="A80" s="3" t="s">
        <v>84</v>
      </c>
      <c r="B80" s="3" t="str">
        <f>"Maasilta, Tommi"</f>
        <v>Maasilta, Tommi</v>
      </c>
      <c r="C80" s="3" t="str">
        <f>"Askolan kunta"</f>
        <v>Askolan kunta</v>
      </c>
      <c r="D80" s="3" t="str">
        <f>"ympäristönsuojelusihteeri"</f>
        <v>ympäristönsuojelusihteeri</v>
      </c>
      <c r="E80" s="3" t="str">
        <f>"0407639420"</f>
        <v>0407639420</v>
      </c>
      <c r="F80" s="3" t="str">
        <f>"tommi.maasilta@askola.fi"</f>
        <v>tommi.maasilta@askola.fi</v>
      </c>
    </row>
    <row r="81" spans="1:6" ht="15">
      <c r="A81" s="3" t="s">
        <v>85</v>
      </c>
      <c r="B81" s="3" t="str">
        <f>"Lintinen Marketta"</f>
        <v>Lintinen Marketta</v>
      </c>
      <c r="C81" s="3" t="str">
        <f>"Kiteen kaupunki"</f>
        <v>Kiteen kaupunki</v>
      </c>
      <c r="D81" s="3" t="str">
        <f>"ympäristöpäällikkö"</f>
        <v>ympäristöpäällikkö</v>
      </c>
      <c r="E81" s="3" t="str">
        <f>"040 105 1216"</f>
        <v>040 105 1216</v>
      </c>
      <c r="F81" s="3" t="str">
        <f>"marketta.lintinen@kitee.fi"</f>
        <v>marketta.lintinen@kitee.fi</v>
      </c>
    </row>
    <row r="82" spans="1:6" ht="15">
      <c r="A82" s="3" t="s">
        <v>86</v>
      </c>
      <c r="B82" s="3" t="str">
        <f>"Skult, Patrik"</f>
        <v>Skult, Patrik</v>
      </c>
      <c r="C82" s="3" t="str">
        <f>"Inkoon kunta"</f>
        <v>Inkoon kunta</v>
      </c>
      <c r="D82" s="3" t="str">
        <f>"ympäristöpäällikkö"</f>
        <v>ympäristöpäällikkö</v>
      </c>
      <c r="E82" s="2"/>
      <c r="F82" s="3" t="str">
        <f>"patrik.skult@inga.fi"</f>
        <v>patrik.skult@inga.fi</v>
      </c>
    </row>
    <row r="83" spans="1:6" ht="15">
      <c r="A83" s="3" t="s">
        <v>87</v>
      </c>
      <c r="B83" s="3" t="str">
        <f>"Salonpää Lea"</f>
        <v>Salonpää Lea</v>
      </c>
      <c r="C83" s="3" t="str">
        <f>"Espoon ympäristökeskus"</f>
        <v>Espoon ympäristökeskus</v>
      </c>
      <c r="D83" s="3" t="str">
        <f>"ympäristötarkastaja"</f>
        <v>ympäristötarkastaja</v>
      </c>
      <c r="E83" s="2"/>
      <c r="F83" s="3" t="str">
        <f>"lea.salonpaa@espoo.fi"</f>
        <v>lea.salonpaa@espoo.fi</v>
      </c>
    </row>
    <row r="84" spans="1:6" ht="15">
      <c r="A84" s="3" t="s">
        <v>88</v>
      </c>
      <c r="B84" s="3" t="str">
        <f>"Tiainen, Mikko"</f>
        <v>Tiainen, Mikko</v>
      </c>
      <c r="C84" s="3" t="str">
        <f>"Vantaan kaupunki/Ympäristökeskus"</f>
        <v>Vantaan kaupunki/Ympäristökeskus</v>
      </c>
      <c r="D84" s="3" t="str">
        <f>"Ympäristötarkastaja vs."</f>
        <v>Ympäristötarkastaja vs.</v>
      </c>
      <c r="E84" s="2"/>
      <c r="F84" s="3" t="str">
        <f>"mikko.tiainen@vantaa.fi"</f>
        <v>mikko.tiainen@vantaa.fi</v>
      </c>
    </row>
    <row r="85" spans="1:6" ht="15">
      <c r="A85" s="3" t="s">
        <v>89</v>
      </c>
      <c r="B85" s="3" t="str">
        <f>"Klemelä Timo"</f>
        <v>Klemelä Timo</v>
      </c>
      <c r="C85" s="3" t="str">
        <f>"Someron kaupunki"</f>
        <v>Someron kaupunki</v>
      </c>
      <c r="D85" s="3" t="str">
        <f>"Ympäristönsuojelusihteeri"</f>
        <v>Ympäristönsuojelusihteeri</v>
      </c>
      <c r="E85" s="3" t="str">
        <f>"044 7791284"</f>
        <v>044 7791284</v>
      </c>
      <c r="F85" s="3" t="str">
        <f>"timo.klemela@somero.fi"</f>
        <v>timo.klemela@somero.fi</v>
      </c>
    </row>
    <row r="86" spans="1:6" ht="15">
      <c r="A86" s="3" t="s">
        <v>90</v>
      </c>
      <c r="B86" s="3" t="str">
        <f>"Forsberg-Heikkilä Carita"</f>
        <v>Forsberg-Heikkilä Carita</v>
      </c>
      <c r="C86" s="3" t="str">
        <f>"Porvoon kaupunki / ympäristönsuojelu"</f>
        <v>Porvoon kaupunki / ympäristönsuojelu</v>
      </c>
      <c r="D86" s="3" t="str">
        <f>"ympäristöntutkimuspäällikkö"</f>
        <v>ympäristöntutkimuspäällikkö</v>
      </c>
      <c r="E86" s="3" t="str">
        <f>"040 516 4697"</f>
        <v>040 516 4697</v>
      </c>
      <c r="F86" s="3" t="str">
        <f>"carita.forsberg@porvoo.fi"</f>
        <v>carita.forsberg@porvoo.fi</v>
      </c>
    </row>
    <row r="87" spans="1:6" ht="15">
      <c r="A87" s="3" t="s">
        <v>91</v>
      </c>
      <c r="B87" s="3" t="str">
        <f>"Välimaa Heli"</f>
        <v>Välimaa Heli</v>
      </c>
      <c r="C87" s="3" t="str">
        <f>"Porin kaupungin ympäristövirasto"</f>
        <v>Porin kaupungin ympäristövirasto</v>
      </c>
      <c r="D87" s="3" t="str">
        <f>"ympäristösuunnittelija"</f>
        <v>ympäristösuunnittelija</v>
      </c>
      <c r="E87" s="3" t="str">
        <f>"044 701 8502"</f>
        <v>044 701 8502</v>
      </c>
      <c r="F87" s="3" t="str">
        <f>"heli.valimaa@pori.fi"</f>
        <v>heli.valimaa@pori.fi</v>
      </c>
    </row>
    <row r="88" spans="1:6" ht="15">
      <c r="A88" s="3" t="s">
        <v>92</v>
      </c>
      <c r="B88" s="3" t="str">
        <f>"Silberstein, Leona"</f>
        <v>Silberstein, Leona</v>
      </c>
      <c r="C88" s="3" t="str">
        <f>"Porvoon kaupunki"</f>
        <v>Porvoon kaupunki</v>
      </c>
      <c r="D88" s="3" t="str">
        <f>"ympäristönsuojelutarkastaja"</f>
        <v>ympäristönsuojelutarkastaja</v>
      </c>
      <c r="E88" s="3" t="str">
        <f>"040 861 8187"</f>
        <v>040 861 8187</v>
      </c>
      <c r="F88" s="3" t="str">
        <f>"leona.silberstein@porvoo.fi"</f>
        <v>leona.silberstein@porvoo.fi</v>
      </c>
    </row>
    <row r="89" spans="1:6" ht="15">
      <c r="A89" s="3" t="s">
        <v>93</v>
      </c>
      <c r="B89" s="3" t="str">
        <f>"Pasanen Harri"</f>
        <v>Pasanen Harri</v>
      </c>
      <c r="C89" s="3" t="str">
        <f>"Helsingin kaupungin ympäristökeskus"</f>
        <v>Helsingin kaupungin ympäristökeskus</v>
      </c>
      <c r="D89" s="3" t="str">
        <f>"Ympäristötarkastaja"</f>
        <v>Ympäristötarkastaja</v>
      </c>
      <c r="E89" s="2"/>
      <c r="F89" s="3" t="str">
        <f>"harri.pasanen@hel.fi"</f>
        <v>harri.pasanen@hel.fi</v>
      </c>
    </row>
    <row r="90" spans="1:6" ht="15">
      <c r="A90" s="3" t="s">
        <v>94</v>
      </c>
      <c r="B90" s="3" t="str">
        <f>"Bärling Matti"</f>
        <v>Bärling Matti</v>
      </c>
      <c r="C90" s="3" t="str">
        <f>"Maanpuolustuskoulutusyhdistys Satakunta"</f>
        <v>Maanpuolustuskoulutusyhdistys Satakunta</v>
      </c>
      <c r="D90" s="3" t="str">
        <f>"Koulutuspäällikkö"</f>
        <v>Koulutuspäällikkö</v>
      </c>
      <c r="E90" s="3" t="str">
        <f>"050-3602775"</f>
        <v>050-3602775</v>
      </c>
      <c r="F90" s="3" t="str">
        <f>"matti.barling@mpky.fi"</f>
        <v>matti.barling@mpky.fi</v>
      </c>
    </row>
    <row r="91" spans="1:6" ht="15">
      <c r="A91" s="3" t="s">
        <v>95</v>
      </c>
      <c r="B91" s="3" t="str">
        <f>"Oksman Ilkka"</f>
        <v>Oksman Ilkka</v>
      </c>
      <c r="C91" s="3" t="str">
        <f>"Lappeenrannan kaupunki, liikuntatoimi"</f>
        <v>Lappeenrannan kaupunki, liikuntatoimi</v>
      </c>
      <c r="D91" s="3" t="str">
        <f>"liikuntatoimenjohtaja"</f>
        <v>liikuntatoimenjohtaja</v>
      </c>
      <c r="E91" s="3" t="str">
        <f>"0400 753504"</f>
        <v>0400 753504</v>
      </c>
      <c r="F91" s="3" t="str">
        <f>"ilkka.oksman@lappeenranta.fi"</f>
        <v>ilkka.oksman@lappeenranta.fi</v>
      </c>
    </row>
    <row r="92" spans="1:6" ht="15">
      <c r="A92" s="3" t="s">
        <v>96</v>
      </c>
      <c r="B92" s="3" t="str">
        <f>"Lukkarinen Hannu"</f>
        <v>Lukkarinen Hannu</v>
      </c>
      <c r="C92" s="3" t="str">
        <f>"Hämeenlinnan kaupunki"</f>
        <v>Hämeenlinnan kaupunki</v>
      </c>
      <c r="D92" s="3" t="str">
        <f>"Ympäristö- ja terveystarkastaja"</f>
        <v>Ympäristö- ja terveystarkastaja</v>
      </c>
      <c r="E92" s="3" t="str">
        <f>"03 6213772"</f>
        <v>03 6213772</v>
      </c>
      <c r="F92" s="3" t="str">
        <f>"hannu.lukkarinen@hameenlinna.fi"</f>
        <v>hannu.lukkarinen@hameenlinna.fi</v>
      </c>
    </row>
    <row r="93" spans="1:6" ht="15">
      <c r="A93" s="3" t="s">
        <v>97</v>
      </c>
      <c r="B93" s="3" t="str">
        <f>"Saarinen, Ari"</f>
        <v>Saarinen, Ari</v>
      </c>
      <c r="C93" s="3" t="str">
        <f>"Ympäristöministeriö"</f>
        <v>Ympäristöministeriö</v>
      </c>
      <c r="D93" s="3" t="str">
        <f>"Ympäristöneuvos"</f>
        <v>Ympäristöneuvos</v>
      </c>
      <c r="E93" s="3" t="str">
        <f>"0504137664"</f>
        <v>0504137664</v>
      </c>
      <c r="F93" s="3" t="str">
        <f>"ari.saarinen@ymparisto.fi"</f>
        <v>ari.saarinen@ymparisto.fi</v>
      </c>
    </row>
    <row r="94" spans="1:6" ht="15">
      <c r="A94" s="3" t="s">
        <v>98</v>
      </c>
      <c r="B94" s="3" t="str">
        <f>"Kosonen, Ilmari"</f>
        <v>Kosonen, Ilmari</v>
      </c>
      <c r="C94" s="3" t="str">
        <f>"Helsingin poliisilaitos"</f>
        <v>Helsingin poliisilaitos</v>
      </c>
      <c r="D94" s="3" t="str">
        <f>"Asetarkastaja"</f>
        <v>Asetarkastaja</v>
      </c>
      <c r="E94" s="2"/>
      <c r="F94" s="3" t="str">
        <f>"ilmari.kosonen@helsinki.fi"</f>
        <v>ilmari.kosonen@helsinki.fi</v>
      </c>
    </row>
    <row r="95" spans="1:6" ht="15">
      <c r="A95" s="3" t="s">
        <v>99</v>
      </c>
      <c r="B95" s="3" t="str">
        <f>"Peitsenheimo-Aarnio Sirpa"</f>
        <v>Peitsenheimo-Aarnio Sirpa</v>
      </c>
      <c r="C95" s="3" t="str">
        <f>"Hankasalmen kunta"</f>
        <v>Hankasalmen kunta</v>
      </c>
      <c r="D95" s="3" t="str">
        <f>"Ympäristönsuojelusihteeri"</f>
        <v>Ympäristönsuojelusihteeri</v>
      </c>
      <c r="E95" s="3" t="str">
        <f>"014 2671 319"</f>
        <v>014 2671 319</v>
      </c>
      <c r="F95" s="3" t="str">
        <f>"sirpa.peitsenheimo-aarnio@hankasalmi.fi"</f>
        <v>sirpa.peitsenheimo-aarnio@hankasalmi.fi</v>
      </c>
    </row>
    <row r="96" spans="1:6" ht="15">
      <c r="A96" s="3" t="s">
        <v>100</v>
      </c>
      <c r="B96" s="3" t="str">
        <f>"Klemelä Erja"</f>
        <v>Klemelä Erja</v>
      </c>
      <c r="C96" s="3" t="str">
        <f>"Tammelan kunta"</f>
        <v>Tammelan kunta</v>
      </c>
      <c r="D96" s="3" t="str">
        <f>"ympäristösihteeri"</f>
        <v>ympäristösihteeri</v>
      </c>
      <c r="E96" s="3" t="str">
        <f>"050 324 8172"</f>
        <v>050 324 8172</v>
      </c>
      <c r="F96" s="3" t="str">
        <f>"erja.klemela@tammela.fi"</f>
        <v>erja.klemela@tammela.fi</v>
      </c>
    </row>
    <row r="97" spans="1:6" ht="15">
      <c r="A97" s="3" t="s">
        <v>101</v>
      </c>
      <c r="B97" s="3" t="str">
        <f>"Sahivirta Elise"</f>
        <v>Sahivirta Elise</v>
      </c>
      <c r="C97" s="3" t="str">
        <f>"Ympäristöministeriö"</f>
        <v>Ympäristöministeriö</v>
      </c>
      <c r="D97" s="3" t="str">
        <f>"Hallitussihteeri"</f>
        <v>Hallitussihteeri</v>
      </c>
      <c r="E97" s="2"/>
      <c r="F97" s="3" t="str">
        <f>"elise.sahivirta@ymparisto.fi"</f>
        <v>elise.sahivirta@ymparisto.fi</v>
      </c>
    </row>
    <row r="98" spans="1:6" ht="15">
      <c r="A98" s="3" t="s">
        <v>102</v>
      </c>
      <c r="B98" s="3" t="str">
        <f>"Pyy Outi"</f>
        <v>Pyy Outi</v>
      </c>
      <c r="C98" s="3" t="str">
        <f>"Suomen Ympäristökeskus"</f>
        <v>Suomen Ympäristökeskus</v>
      </c>
      <c r="D98" s="3" t="str">
        <f>"Erikoissuunnittelija"</f>
        <v>Erikoissuunnittelija</v>
      </c>
      <c r="E98" s="2"/>
      <c r="F98" s="3" t="str">
        <f>"outi.pyy@ymparisto.fi"</f>
        <v>outi.pyy@ymparisto.fi</v>
      </c>
    </row>
    <row r="99" spans="1:6" ht="15">
      <c r="A99" s="3" t="s">
        <v>103</v>
      </c>
      <c r="B99" s="3" t="str">
        <f>"Kajander Sara"</f>
        <v>Kajander Sara</v>
      </c>
      <c r="C99" s="3" t="str">
        <f>"Puolustushallinnon rakennuslaitos"</f>
        <v>Puolustushallinnon rakennuslaitos</v>
      </c>
      <c r="D99" s="3" t="str">
        <f>"Johtava asiantuntija"</f>
        <v>Johtava asiantuntija</v>
      </c>
      <c r="E99" s="2"/>
      <c r="F99" s="3" t="str">
        <f>"sara.kajander@phrakl.fi"</f>
        <v>sara.kajander@phrakl.fi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Lomakkeen vastaukset</dc:title>
  <dc:subject/>
  <dc:creator/>
  <cp:keywords/>
  <dc:description/>
  <cp:lastModifiedBy>Risto Aarrekivi</cp:lastModifiedBy>
  <dcterms:created xsi:type="dcterms:W3CDTF">2011-03-08T08:49:12Z</dcterms:created>
  <dcterms:modified xsi:type="dcterms:W3CDTF">2011-03-08T08:49:12Z</dcterms:modified>
  <cp:category/>
  <cp:version/>
  <cp:contentType/>
  <cp:contentStatus/>
</cp:coreProperties>
</file>